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255" windowWidth="19200" windowHeight="12000" activeTab="0"/>
  </bookViews>
  <sheets>
    <sheet name="Haupttabelle" sheetId="1" r:id="rId1"/>
    <sheet name="KostO(bis 31.12.2001) - DM" sheetId="2" state="hidden" r:id="rId2"/>
    <sheet name="KostO(ab 1.1.2002) - EUR" sheetId="3" state="hidden" r:id="rId3"/>
  </sheets>
  <definedNames/>
  <calcPr fullCalcOnLoad="1" refMode="R1C1"/>
</workbook>
</file>

<file path=xl/sharedStrings.xml><?xml version="1.0" encoding="utf-8"?>
<sst xmlns="http://schemas.openxmlformats.org/spreadsheetml/2006/main" count="45" uniqueCount="43">
  <si>
    <t>Gebühr</t>
  </si>
  <si>
    <t>5/10</t>
  </si>
  <si>
    <t>10/10</t>
  </si>
  <si>
    <t>20/10</t>
  </si>
  <si>
    <t>15/10</t>
  </si>
  <si>
    <t>1/4</t>
  </si>
  <si>
    <t>1/10</t>
  </si>
  <si>
    <t>Geschäftswert</t>
  </si>
  <si>
    <t>EUR</t>
  </si>
  <si>
    <t>Gebührensatz</t>
  </si>
  <si>
    <t>(EUR)</t>
  </si>
  <si>
    <r>
      <t>KostO-Gebührenrechner</t>
    </r>
    <r>
      <rPr>
        <b/>
        <vertAlign val="superscript"/>
        <sz val="14"/>
        <color indexed="18"/>
        <rFont val="Garamond"/>
        <family val="1"/>
      </rPr>
      <t>1)</t>
    </r>
  </si>
  <si>
    <t>1) Berechnung - ohne Gewähr - der sich aus § 32 Kostenordnung (KostO) ergebenden, vom Geschäftswert abhängigen Gebühr. Welcher Gebührensatz für welches Urkundsgeschäft anfällt und wie sich bei den einzelnen Urkundsgeschäften jeweils der Geschäftswert bemisst, ergibt sich aus den übrigen Vorschriften der Kostenordnung. Dieser Gebührenrechner ist lediglich eine Rechenhilfe und stellt keine verbindliche Kostenauskunft für den Einzelfall dar. Eine Haftung für etwaige Berechnungsfehler wird von der Bundesnotarkammer nicht übernommen.
§ 32 KostO lautet wie folgt:</t>
  </si>
  <si>
    <t>[Wert eingeben und Währung auswählen]</t>
  </si>
  <si>
    <t>"(1) Die volle Gebühr bei einem Geschäftswert bis 1 000 Euro beträgt 10 Euro. Die Gebühr erhöht sich bei einem</t>
  </si>
  <si>
    <t xml:space="preserve">Geschäftswert bis
... Euro
</t>
  </si>
  <si>
    <t xml:space="preserve">für jeden
angefangenen Betrag
von weiteren ... Euro
</t>
  </si>
  <si>
    <t xml:space="preserve">um
... Euro
</t>
  </si>
  <si>
    <t xml:space="preserve">5 000
</t>
  </si>
  <si>
    <t xml:space="preserve">50 000
</t>
  </si>
  <si>
    <t>5 000 000</t>
  </si>
  <si>
    <t xml:space="preserve">25 000 000
</t>
  </si>
  <si>
    <t xml:space="preserve">50 000 000
250 000 000
</t>
  </si>
  <si>
    <t xml:space="preserve">1 000
</t>
  </si>
  <si>
    <t>3 000</t>
  </si>
  <si>
    <t xml:space="preserve">10 000
</t>
  </si>
  <si>
    <t xml:space="preserve">25 000
</t>
  </si>
  <si>
    <t>6</t>
  </si>
  <si>
    <t>15</t>
  </si>
  <si>
    <t>16</t>
  </si>
  <si>
    <t>11</t>
  </si>
  <si>
    <t>7</t>
  </si>
  <si>
    <t>(2) Gebühren werden auf den nächstliegenden Cent auf- oder abgerundet; 0,5 Cent werden aufgerundet."</t>
  </si>
  <si>
    <t>Eine Gebührentabelle für Geschäftswerte bis 1 000 000 Euro ist diesem Gesetz als Anlage beigefügt..</t>
  </si>
  <si>
    <t>(EUR/DM)</t>
  </si>
  <si>
    <t xml:space="preserve">
</t>
  </si>
  <si>
    <t>über 
50 000 000</t>
  </si>
  <si>
    <t>50 000 000</t>
  </si>
  <si>
    <t>250 000</t>
  </si>
  <si>
    <t>8</t>
  </si>
  <si>
    <t>© Bundesnotarkammer 2004, Version 1.07</t>
  </si>
  <si>
    <r>
      <t>Geschäftswert</t>
    </r>
    <r>
      <rPr>
        <b/>
        <vertAlign val="superscript"/>
        <sz val="12"/>
        <color indexed="18"/>
        <rFont val="Garamond"/>
        <family val="1"/>
      </rPr>
      <t>2)</t>
    </r>
  </si>
  <si>
    <t>2) Gemäß § 18 Abs. 1 Satz 2 KostO beträgt der Geschäftswert höchstens 60 Mio. Euro, soweit nichts anderes bestimmt ist.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</si>
</sst>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00000"/>
    <numFmt numFmtId="174" formatCode="#,##0.00\ _D_M"/>
    <numFmt numFmtId="175" formatCode="&quot;Ja&quot;;&quot;Ja&quot;;&quot;Nein&quot;"/>
    <numFmt numFmtId="176" formatCode="&quot;Wahr&quot;;&quot;Wahr&quot;;&quot;Falsch&quot;"/>
    <numFmt numFmtId="177" formatCode="&quot;Ein&quot;;&quot;Ein&quot;;&quot;Aus&quot;"/>
  </numFmts>
  <fonts count="15">
    <font>
      <sz val="10"/>
      <name val="Arial"/>
      <family val="0"/>
    </font>
    <font>
      <b/>
      <sz val="12"/>
      <color indexed="18"/>
      <name val="Garamond"/>
      <family val="1"/>
    </font>
    <font>
      <sz val="12"/>
      <color indexed="18"/>
      <name val="Arial"/>
      <family val="0"/>
    </font>
    <font>
      <b/>
      <sz val="12"/>
      <color indexed="23"/>
      <name val="Garamond"/>
      <family val="1"/>
    </font>
    <font>
      <b/>
      <sz val="10"/>
      <color indexed="18"/>
      <name val="Garamond"/>
      <family val="1"/>
    </font>
    <font>
      <b/>
      <sz val="14"/>
      <color indexed="18"/>
      <name val="Garamond"/>
      <family val="1"/>
    </font>
    <font>
      <b/>
      <vertAlign val="superscript"/>
      <sz val="14"/>
      <color indexed="18"/>
      <name val="Garamond"/>
      <family val="1"/>
    </font>
    <font>
      <b/>
      <sz val="10"/>
      <color indexed="23"/>
      <name val="Garamond"/>
      <family val="1"/>
    </font>
    <font>
      <sz val="8"/>
      <color indexed="18"/>
      <name val="Garamond"/>
      <family val="1"/>
    </font>
    <font>
      <b/>
      <vertAlign val="superscript"/>
      <sz val="12"/>
      <color indexed="18"/>
      <name val="Garamond"/>
      <family val="1"/>
    </font>
    <font>
      <sz val="10"/>
      <color indexed="18"/>
      <name val="Garamond"/>
      <family val="1"/>
    </font>
    <font>
      <sz val="11"/>
      <color indexed="18"/>
      <name val="Garamond"/>
      <family val="1"/>
    </font>
    <font>
      <vertAlign val="superscript"/>
      <sz val="14"/>
      <color indexed="18"/>
      <name val="Garamond"/>
      <family val="1"/>
    </font>
    <font>
      <sz val="14"/>
      <color indexed="18"/>
      <name val="Garamond"/>
      <family val="1"/>
    </font>
    <font>
      <sz val="8"/>
      <color indexed="32"/>
      <name val="Garamond"/>
      <family val="1"/>
    </font>
  </fonts>
  <fills count="4">
    <fill>
      <patternFill/>
    </fill>
    <fill>
      <patternFill patternType="gray125"/>
    </fill>
    <fill>
      <patternFill patternType="solid">
        <fgColor indexed="31"/>
        <bgColor indexed="64"/>
      </patternFill>
    </fill>
    <fill>
      <patternFill patternType="solid">
        <fgColor indexed="43"/>
        <bgColor indexed="64"/>
      </patternFill>
    </fill>
  </fills>
  <borders count="16">
    <border>
      <left/>
      <right/>
      <top/>
      <bottom/>
      <diagonal/>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1" fillId="2" borderId="0" xfId="0" applyFont="1" applyFill="1" applyAlignment="1">
      <alignment/>
    </xf>
    <xf numFmtId="0" fontId="3" fillId="0" borderId="0" xfId="0" applyFont="1" applyAlignment="1">
      <alignment/>
    </xf>
    <xf numFmtId="0" fontId="2" fillId="0" borderId="0" xfId="0" applyFont="1" applyFill="1" applyAlignment="1">
      <alignment/>
    </xf>
    <xf numFmtId="0" fontId="1" fillId="2" borderId="0" xfId="0" applyFont="1" applyFill="1" applyAlignment="1">
      <alignment horizontal="righ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wrapText="1"/>
    </xf>
    <xf numFmtId="0" fontId="2" fillId="0" borderId="1" xfId="0" applyFont="1" applyBorder="1" applyAlignment="1">
      <alignment wrapText="1"/>
    </xf>
    <xf numFmtId="4" fontId="2" fillId="3" borderId="2" xfId="0" applyNumberFormat="1" applyFont="1" applyFill="1" applyBorder="1" applyAlignment="1" applyProtection="1">
      <alignment/>
      <protection locked="0"/>
    </xf>
    <xf numFmtId="49" fontId="2" fillId="3" borderId="2" xfId="0" applyNumberFormat="1" applyFont="1" applyFill="1" applyBorder="1" applyAlignment="1" applyProtection="1">
      <alignment horizontal="right"/>
      <protection locked="0"/>
    </xf>
    <xf numFmtId="4" fontId="0" fillId="0" borderId="0" xfId="0" applyNumberFormat="1" applyAlignment="1">
      <alignment/>
    </xf>
    <xf numFmtId="0" fontId="5" fillId="2" borderId="0" xfId="0" applyFont="1" applyFill="1" applyAlignment="1">
      <alignment horizontal="center"/>
    </xf>
    <xf numFmtId="0" fontId="1" fillId="2" borderId="0" xfId="0" applyFont="1" applyFill="1" applyBorder="1" applyAlignment="1">
      <alignment horizontal="center"/>
    </xf>
    <xf numFmtId="49" fontId="3" fillId="0" borderId="0" xfId="0" applyNumberFormat="1" applyFont="1" applyAlignment="1">
      <alignment horizontal="center"/>
    </xf>
    <xf numFmtId="0" fontId="1" fillId="0" borderId="0" xfId="0" applyFont="1" applyAlignment="1">
      <alignment horizontal="center"/>
    </xf>
    <xf numFmtId="0" fontId="0" fillId="2" borderId="0" xfId="0" applyFill="1" applyAlignment="1">
      <alignment horizontal="center"/>
    </xf>
    <xf numFmtId="0" fontId="11" fillId="0" borderId="0" xfId="0" applyFont="1" applyAlignment="1">
      <alignment/>
    </xf>
    <xf numFmtId="0" fontId="12" fillId="2" borderId="0" xfId="0" applyFont="1" applyFill="1" applyAlignment="1">
      <alignment horizontal="center"/>
    </xf>
    <xf numFmtId="0" fontId="13" fillId="2" borderId="0" xfId="0" applyFont="1" applyFill="1" applyAlignment="1">
      <alignment horizontal="center"/>
    </xf>
    <xf numFmtId="4" fontId="3" fillId="0" borderId="0" xfId="0" applyNumberFormat="1" applyFont="1" applyAlignment="1">
      <alignment horizontal="center"/>
    </xf>
    <xf numFmtId="4" fontId="3" fillId="0" borderId="0" xfId="0" applyNumberFormat="1" applyFont="1" applyAlignment="1" applyProtection="1">
      <alignment horizontal="center"/>
      <protection/>
    </xf>
    <xf numFmtId="0" fontId="14" fillId="0" borderId="2" xfId="0" applyFont="1" applyBorder="1" applyAlignment="1">
      <alignment horizontal="center" vertical="top" wrapText="1"/>
    </xf>
    <xf numFmtId="0" fontId="0" fillId="0" borderId="0" xfId="0" applyBorder="1" applyAlignment="1">
      <alignment vertical="top" wrapText="1"/>
    </xf>
    <xf numFmtId="49" fontId="14" fillId="0" borderId="3" xfId="0" applyNumberFormat="1" applyFont="1" applyBorder="1" applyAlignment="1">
      <alignment horizontal="center" vertical="top" wrapText="1"/>
    </xf>
    <xf numFmtId="49" fontId="14" fillId="0" borderId="4" xfId="0" applyNumberFormat="1" applyFont="1" applyBorder="1" applyAlignment="1">
      <alignment horizontal="center" vertical="top" wrapText="1"/>
    </xf>
    <xf numFmtId="49" fontId="14" fillId="0" borderId="5" xfId="0" applyNumberFormat="1" applyFont="1" applyBorder="1" applyAlignment="1">
      <alignment horizontal="center" vertical="top" wrapText="1"/>
    </xf>
    <xf numFmtId="0" fontId="2" fillId="0" borderId="4" xfId="0" applyFont="1" applyBorder="1" applyAlignment="1">
      <alignment wrapText="1"/>
    </xf>
    <xf numFmtId="0" fontId="1" fillId="0" borderId="0" xfId="0" applyFont="1" applyFill="1" applyAlignment="1">
      <alignment/>
    </xf>
    <xf numFmtId="4" fontId="1" fillId="0" borderId="0" xfId="0" applyNumberFormat="1" applyFont="1" applyFill="1" applyAlignment="1" applyProtection="1">
      <alignment/>
      <protection/>
    </xf>
    <xf numFmtId="0" fontId="1" fillId="0" borderId="0" xfId="0" applyFont="1" applyFill="1" applyAlignment="1">
      <alignment horizontal="right"/>
    </xf>
    <xf numFmtId="0" fontId="9" fillId="0" borderId="0" xfId="0" applyFont="1" applyFill="1" applyAlignment="1">
      <alignment horizontal="left"/>
    </xf>
    <xf numFmtId="0" fontId="5" fillId="0" borderId="0" xfId="0" applyFont="1" applyFill="1" applyAlignment="1">
      <alignment horizontal="center"/>
    </xf>
    <xf numFmtId="0" fontId="0" fillId="0" borderId="0" xfId="0" applyFill="1" applyAlignment="1">
      <alignment horizontal="center"/>
    </xf>
    <xf numFmtId="0" fontId="2" fillId="0" borderId="0" xfId="0" applyFont="1" applyFill="1" applyBorder="1" applyAlignment="1">
      <alignment/>
    </xf>
    <xf numFmtId="0" fontId="4" fillId="0" borderId="0" xfId="0" applyFont="1" applyFill="1" applyAlignment="1">
      <alignment horizontal="center"/>
    </xf>
    <xf numFmtId="4" fontId="7" fillId="0" borderId="0" xfId="0" applyNumberFormat="1" applyFont="1" applyFill="1" applyAlignment="1">
      <alignment horizontal="center"/>
    </xf>
    <xf numFmtId="0" fontId="8" fillId="0" borderId="6" xfId="0" applyFont="1" applyBorder="1" applyAlignment="1">
      <alignment horizontal="left" vertical="top" indent="1"/>
    </xf>
    <xf numFmtId="0" fontId="0" fillId="0" borderId="0" xfId="0" applyBorder="1" applyAlignment="1">
      <alignment vertical="top"/>
    </xf>
    <xf numFmtId="0" fontId="0" fillId="0" borderId="1" xfId="0" applyBorder="1" applyAlignment="1">
      <alignment vertical="top"/>
    </xf>
    <xf numFmtId="0" fontId="0" fillId="0" borderId="7" xfId="0" applyBorder="1" applyAlignment="1">
      <alignment wrapText="1"/>
    </xf>
    <xf numFmtId="0" fontId="8" fillId="0" borderId="0" xfId="0" applyFont="1" applyBorder="1" applyAlignment="1">
      <alignment horizontal="left" vertical="top" indent="1"/>
    </xf>
    <xf numFmtId="0" fontId="0" fillId="0" borderId="0" xfId="0" applyBorder="1" applyAlignment="1">
      <alignment vertical="top"/>
    </xf>
    <xf numFmtId="0" fontId="8" fillId="0" borderId="8" xfId="0" applyFont="1" applyBorder="1" applyAlignment="1">
      <alignment vertical="top"/>
    </xf>
    <xf numFmtId="0" fontId="0" fillId="0" borderId="9" xfId="0" applyBorder="1" applyAlignment="1">
      <alignment vertical="top"/>
    </xf>
    <xf numFmtId="0" fontId="0" fillId="0" borderId="7" xfId="0" applyBorder="1" applyAlignment="1">
      <alignment vertical="top"/>
    </xf>
    <xf numFmtId="0" fontId="8" fillId="0" borderId="6" xfId="0" applyFont="1" applyBorder="1" applyAlignment="1">
      <alignment vertical="top" wrapText="1"/>
    </xf>
    <xf numFmtId="0" fontId="0" fillId="0" borderId="0" xfId="0" applyBorder="1" applyAlignment="1">
      <alignment wrapText="1"/>
    </xf>
    <xf numFmtId="0" fontId="0" fillId="0" borderId="1" xfId="0" applyBorder="1" applyAlignment="1">
      <alignment wrapText="1"/>
    </xf>
    <xf numFmtId="0" fontId="8" fillId="0" borderId="0" xfId="0" applyFont="1" applyBorder="1" applyAlignment="1">
      <alignment vertical="top" wrapText="1"/>
    </xf>
    <xf numFmtId="0" fontId="5" fillId="2" borderId="0" xfId="0" applyFont="1" applyFill="1" applyAlignment="1">
      <alignment horizontal="center"/>
    </xf>
    <xf numFmtId="0" fontId="8" fillId="0" borderId="0" xfId="0" applyFont="1" applyAlignment="1">
      <alignment horizontal="center"/>
    </xf>
    <xf numFmtId="0" fontId="1" fillId="2" borderId="0" xfId="0" applyFont="1" applyFill="1" applyAlignment="1">
      <alignment horizontal="center"/>
    </xf>
    <xf numFmtId="0" fontId="8" fillId="0" borderId="10" xfId="0" applyFont="1" applyBorder="1" applyAlignment="1">
      <alignment horizontal="center" vertical="top" wrapText="1"/>
    </xf>
    <xf numFmtId="0" fontId="0" fillId="0" borderId="11" xfId="0" applyBorder="1" applyAlignment="1">
      <alignment wrapText="1"/>
    </xf>
    <xf numFmtId="0" fontId="0" fillId="0" borderId="12" xfId="0" applyBorder="1" applyAlignment="1">
      <alignment wrapText="1"/>
    </xf>
    <xf numFmtId="0" fontId="1" fillId="0" borderId="0" xfId="0" applyFont="1" applyFill="1" applyAlignment="1">
      <alignment horizontal="center"/>
    </xf>
    <xf numFmtId="0" fontId="8" fillId="0" borderId="13" xfId="0" applyFont="1" applyBorder="1" applyAlignment="1">
      <alignment vertical="top" wrapText="1"/>
    </xf>
    <xf numFmtId="0" fontId="0" fillId="0" borderId="14" xfId="0" applyBorder="1" applyAlignment="1">
      <alignment vertical="top" wrapText="1"/>
    </xf>
    <xf numFmtId="0" fontId="0" fillId="0" borderId="14" xfId="0" applyBorder="1" applyAlignment="1">
      <alignment wrapText="1"/>
    </xf>
    <xf numFmtId="0" fontId="0" fillId="0" borderId="15" xfId="0" applyBorder="1" applyAlignment="1">
      <alignment wrapText="1"/>
    </xf>
    <xf numFmtId="0" fontId="8" fillId="0" borderId="6" xfId="0" applyFont="1" applyBorder="1" applyAlignment="1">
      <alignment horizontal="left" vertical="top" wrapText="1" indent="1"/>
    </xf>
    <xf numFmtId="0" fontId="0" fillId="0" borderId="0" xfId="0" applyBorder="1" applyAlignment="1">
      <alignment horizontal="left" vertical="top" wrapText="1" indent="1"/>
    </xf>
    <xf numFmtId="0" fontId="0" fillId="0" borderId="0" xfId="0" applyBorder="1" applyAlignment="1">
      <alignment horizontal="left" wrapText="1" indent="1"/>
    </xf>
    <xf numFmtId="0" fontId="0" fillId="0" borderId="1" xfId="0" applyBorder="1" applyAlignment="1">
      <alignment horizontal="left" wrapText="1" indent="1"/>
    </xf>
    <xf numFmtId="0" fontId="14" fillId="0" borderId="10" xfId="0" applyFont="1" applyBorder="1" applyAlignment="1">
      <alignment horizontal="center" vertical="top" wrapText="1"/>
    </xf>
    <xf numFmtId="0" fontId="10" fillId="0" borderId="14" xfId="0" applyFont="1" applyFill="1" applyBorder="1" applyAlignment="1">
      <alignment horizontal="center"/>
    </xf>
    <xf numFmtId="49" fontId="14" fillId="0" borderId="6" xfId="0" applyNumberFormat="1" applyFont="1" applyBorder="1" applyAlignment="1">
      <alignment horizontal="center" vertical="top" wrapText="1"/>
    </xf>
    <xf numFmtId="49" fontId="8" fillId="0" borderId="6" xfId="0" applyNumberFormat="1" applyFont="1" applyBorder="1" applyAlignment="1">
      <alignment horizontal="center" vertical="top" wrapText="1"/>
    </xf>
    <xf numFmtId="0" fontId="0" fillId="0" borderId="0" xfId="0" applyAlignment="1">
      <alignment wrapText="1"/>
    </xf>
    <xf numFmtId="49" fontId="8" fillId="0" borderId="13" xfId="0" applyNumberFormat="1" applyFont="1" applyBorder="1" applyAlignment="1">
      <alignment horizontal="center" vertical="top" wrapText="1"/>
    </xf>
    <xf numFmtId="49" fontId="8" fillId="0" borderId="8" xfId="0" applyNumberFormat="1" applyFont="1" applyBorder="1" applyAlignment="1">
      <alignment horizontal="center" vertical="top" wrapText="1"/>
    </xf>
    <xf numFmtId="0" fontId="0" fillId="0" borderId="9" xfId="0" applyBorder="1" applyAlignment="1">
      <alignment wrapText="1"/>
    </xf>
    <xf numFmtId="49" fontId="14" fillId="0" borderId="8" xfId="0" applyNumberFormat="1" applyFont="1" applyBorder="1"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O46"/>
  <sheetViews>
    <sheetView showGridLines="0" tabSelected="1" workbookViewId="0" topLeftCell="A1">
      <selection activeCell="A6" sqref="A6:B6"/>
    </sheetView>
  </sheetViews>
  <sheetFormatPr defaultColWidth="11.421875" defaultRowHeight="12.75"/>
  <cols>
    <col min="1" max="1" width="31.140625" style="2" customWidth="1"/>
    <col min="2" max="2" width="12.7109375" style="2" customWidth="1"/>
    <col min="3" max="3" width="2.57421875" style="2" customWidth="1"/>
    <col min="4" max="4" width="5.57421875" style="2" customWidth="1"/>
    <col min="5" max="5" width="11.421875" style="2" customWidth="1"/>
    <col min="6" max="6" width="3.140625" style="2" customWidth="1"/>
    <col min="7" max="8" width="18.7109375" style="2" customWidth="1"/>
    <col min="9" max="9" width="13.00390625" style="2" customWidth="1"/>
    <col min="10" max="11" width="14.7109375" style="2" customWidth="1"/>
    <col min="12" max="16384" width="11.421875" style="2" customWidth="1"/>
  </cols>
  <sheetData>
    <row r="1" spans="1:12" s="6" customFormat="1" ht="23.25" customHeight="1">
      <c r="A1" s="21"/>
      <c r="B1" s="22"/>
      <c r="C1" s="15"/>
      <c r="D1" s="15"/>
      <c r="E1" s="53" t="s">
        <v>11</v>
      </c>
      <c r="F1" s="53"/>
      <c r="G1" s="53"/>
      <c r="H1" s="53"/>
      <c r="I1" s="35"/>
      <c r="J1" s="35"/>
      <c r="K1" s="35"/>
      <c r="L1" s="35"/>
    </row>
    <row r="2" spans="1:8" s="6" customFormat="1" ht="14.25" customHeight="1">
      <c r="A2" s="2"/>
      <c r="B2" s="2"/>
      <c r="C2" s="2"/>
      <c r="D2" s="2"/>
      <c r="E2" s="54" t="s">
        <v>40</v>
      </c>
      <c r="F2" s="54"/>
      <c r="G2" s="54"/>
      <c r="H2" s="54"/>
    </row>
    <row r="3" spans="1:8" s="6" customFormat="1" ht="18">
      <c r="A3" s="4" t="s">
        <v>41</v>
      </c>
      <c r="B3" s="7" t="s">
        <v>34</v>
      </c>
      <c r="C3" s="2"/>
      <c r="D3" s="2"/>
      <c r="E3" s="2"/>
      <c r="F3" s="2"/>
      <c r="G3" s="2"/>
      <c r="H3" s="2"/>
    </row>
    <row r="4" spans="3:8" s="6" customFormat="1" ht="15">
      <c r="C4" s="2"/>
      <c r="D4" s="2"/>
      <c r="E4" s="2"/>
      <c r="F4" s="2"/>
      <c r="G4" s="2"/>
      <c r="H4" s="2"/>
    </row>
    <row r="5" spans="1:8" s="6" customFormat="1" ht="15.75">
      <c r="A5" s="12">
        <v>53000</v>
      </c>
      <c r="B5" s="13" t="s">
        <v>8</v>
      </c>
      <c r="C5" s="2"/>
      <c r="D5" s="2"/>
      <c r="E5" s="20"/>
      <c r="F5" s="2"/>
      <c r="G5" s="2"/>
      <c r="H5" s="2"/>
    </row>
    <row r="6" spans="1:2" s="6" customFormat="1" ht="15">
      <c r="A6" s="69" t="s">
        <v>13</v>
      </c>
      <c r="B6" s="69"/>
    </row>
    <row r="7" spans="1:12" s="37" customFormat="1" ht="15.75">
      <c r="A7" s="16"/>
      <c r="B7" s="19"/>
      <c r="C7" s="19"/>
      <c r="D7" s="19"/>
      <c r="E7" s="19"/>
      <c r="F7" s="19"/>
      <c r="G7" s="55"/>
      <c r="H7" s="55"/>
      <c r="I7" s="36"/>
      <c r="J7" s="59"/>
      <c r="K7" s="59"/>
      <c r="L7" s="36"/>
    </row>
    <row r="8" spans="1:11" s="6" customFormat="1" ht="15.75">
      <c r="A8" s="2"/>
      <c r="B8" s="2"/>
      <c r="C8" s="1"/>
      <c r="D8" s="1"/>
      <c r="E8" s="1"/>
      <c r="F8" s="1"/>
      <c r="G8" s="2"/>
      <c r="H8" s="2"/>
      <c r="I8" s="31"/>
      <c r="J8" s="31"/>
      <c r="K8" s="31"/>
    </row>
    <row r="9" spans="1:11" s="6" customFormat="1" ht="15.75">
      <c r="A9" s="59" t="s">
        <v>7</v>
      </c>
      <c r="B9" s="59"/>
      <c r="C9" s="31"/>
      <c r="D9" s="31"/>
      <c r="E9" s="18" t="s">
        <v>9</v>
      </c>
      <c r="F9" s="1"/>
      <c r="G9" s="18" t="s">
        <v>0</v>
      </c>
      <c r="H9" s="18"/>
      <c r="I9" s="31"/>
      <c r="J9" s="38"/>
      <c r="K9" s="38"/>
    </row>
    <row r="10" spans="3:11" s="6" customFormat="1" ht="15.75">
      <c r="C10" s="31"/>
      <c r="D10" s="1"/>
      <c r="E10" s="1"/>
      <c r="F10" s="1"/>
      <c r="G10" s="18" t="s">
        <v>10</v>
      </c>
      <c r="H10" s="18"/>
      <c r="I10" s="31"/>
      <c r="J10" s="38"/>
      <c r="K10" s="38"/>
    </row>
    <row r="11" spans="1:11" s="6" customFormat="1" ht="15.75">
      <c r="A11" s="32">
        <f>IF(Haupttabelle!A5&gt;60000000,60000000,Haupttabelle!A5)</f>
        <v>53000</v>
      </c>
      <c r="B11" s="33" t="s">
        <v>8</v>
      </c>
      <c r="C11" s="31"/>
      <c r="D11" s="31"/>
      <c r="E11" s="17" t="s">
        <v>1</v>
      </c>
      <c r="F11" s="5"/>
      <c r="G11" s="23">
        <f>IF(G12=0,0,(IF(G12/2&lt;=10,10,G12/2)))</f>
        <v>73.5</v>
      </c>
      <c r="H11" s="23"/>
      <c r="J11" s="39"/>
      <c r="K11" s="39"/>
    </row>
    <row r="12" spans="1:11" s="6" customFormat="1" ht="18">
      <c r="A12" s="32"/>
      <c r="B12" s="33"/>
      <c r="C12" s="34"/>
      <c r="D12" s="31"/>
      <c r="E12" s="17" t="s">
        <v>2</v>
      </c>
      <c r="F12" s="5"/>
      <c r="G12" s="23">
        <f>('KostO(ab 1.1.2002) - EUR'!A13)</f>
        <v>147</v>
      </c>
      <c r="H12" s="23"/>
      <c r="J12" s="39"/>
      <c r="K12" s="39"/>
    </row>
    <row r="13" spans="1:11" s="6" customFormat="1" ht="15.75">
      <c r="A13" s="1"/>
      <c r="B13" s="1"/>
      <c r="C13" s="1"/>
      <c r="D13" s="1"/>
      <c r="E13" s="17" t="s">
        <v>3</v>
      </c>
      <c r="F13" s="5"/>
      <c r="G13" s="23">
        <f>G12*2</f>
        <v>294</v>
      </c>
      <c r="H13" s="24"/>
      <c r="J13" s="39"/>
      <c r="K13" s="39"/>
    </row>
    <row r="14" spans="1:11" s="6" customFormat="1" ht="15.75">
      <c r="A14" s="1"/>
      <c r="B14" s="1"/>
      <c r="C14" s="1"/>
      <c r="D14" s="1"/>
      <c r="E14" s="17" t="s">
        <v>4</v>
      </c>
      <c r="F14" s="5"/>
      <c r="G14" s="23">
        <f>G12*1.5</f>
        <v>220.5</v>
      </c>
      <c r="H14" s="23"/>
      <c r="J14" s="39"/>
      <c r="K14" s="39"/>
    </row>
    <row r="15" spans="1:11" s="6" customFormat="1" ht="15.75">
      <c r="A15" s="1"/>
      <c r="B15" s="1"/>
      <c r="C15" s="1"/>
      <c r="D15" s="1"/>
      <c r="E15" s="17" t="s">
        <v>5</v>
      </c>
      <c r="F15" s="5"/>
      <c r="G15" s="23">
        <f>IF(G12=0,0,(IF(G12/4&lt;=10,10,G12/4)))</f>
        <v>36.75</v>
      </c>
      <c r="H15" s="23"/>
      <c r="J15" s="39"/>
      <c r="K15" s="39"/>
    </row>
    <row r="16" spans="1:11" s="6" customFormat="1" ht="15.75">
      <c r="A16" s="1"/>
      <c r="B16" s="1"/>
      <c r="C16" s="1"/>
      <c r="D16" s="1"/>
      <c r="E16" s="17" t="s">
        <v>6</v>
      </c>
      <c r="F16" s="5"/>
      <c r="G16" s="23">
        <f>IF(G12=0,0,(IF(G12/10&lt;=10,10,G12/10)))</f>
        <v>14.7</v>
      </c>
      <c r="H16" s="23"/>
      <c r="J16" s="39"/>
      <c r="K16" s="39"/>
    </row>
    <row r="17" spans="1:8" s="6" customFormat="1" ht="15">
      <c r="A17" s="2"/>
      <c r="B17" s="2"/>
      <c r="C17" s="2"/>
      <c r="D17" s="2"/>
      <c r="E17" s="2"/>
      <c r="F17" s="2"/>
      <c r="G17" s="2"/>
      <c r="H17" s="2"/>
    </row>
    <row r="18" spans="1:13" s="37" customFormat="1" ht="15">
      <c r="A18" s="2"/>
      <c r="B18" s="2"/>
      <c r="C18" s="2"/>
      <c r="D18" s="2"/>
      <c r="E18" s="2"/>
      <c r="F18" s="2"/>
      <c r="G18" s="2"/>
      <c r="H18" s="2"/>
      <c r="I18" s="2"/>
      <c r="J18" s="2"/>
      <c r="K18" s="2"/>
      <c r="L18" s="2"/>
      <c r="M18" s="2"/>
    </row>
    <row r="19" spans="1:15" ht="49.5" customHeight="1">
      <c r="A19" s="60" t="s">
        <v>12</v>
      </c>
      <c r="B19" s="61"/>
      <c r="C19" s="61"/>
      <c r="D19" s="61"/>
      <c r="E19" s="61"/>
      <c r="F19" s="61"/>
      <c r="G19" s="61"/>
      <c r="H19" s="61"/>
      <c r="I19" s="61"/>
      <c r="J19" s="62"/>
      <c r="K19" s="62"/>
      <c r="L19" s="63"/>
      <c r="M19" s="9"/>
      <c r="N19" s="6"/>
      <c r="O19" s="6"/>
    </row>
    <row r="20" spans="1:15" s="3" customFormat="1" ht="15">
      <c r="A20" s="64" t="s">
        <v>14</v>
      </c>
      <c r="B20" s="65"/>
      <c r="C20" s="65"/>
      <c r="D20" s="65"/>
      <c r="E20" s="65"/>
      <c r="F20" s="65"/>
      <c r="G20" s="65"/>
      <c r="H20" s="65"/>
      <c r="I20" s="65"/>
      <c r="J20" s="66"/>
      <c r="K20" s="66"/>
      <c r="L20" s="67"/>
      <c r="M20" s="9"/>
      <c r="N20" s="37"/>
      <c r="O20" s="37"/>
    </row>
    <row r="21" spans="1:15" ht="33.75">
      <c r="A21" s="30"/>
      <c r="B21" s="56" t="s">
        <v>15</v>
      </c>
      <c r="C21" s="57"/>
      <c r="D21" s="57"/>
      <c r="E21" s="58"/>
      <c r="F21" s="68" t="s">
        <v>16</v>
      </c>
      <c r="G21" s="58"/>
      <c r="H21" s="25" t="s">
        <v>17</v>
      </c>
      <c r="I21" s="26"/>
      <c r="J21" s="10"/>
      <c r="K21" s="10"/>
      <c r="L21" s="11"/>
      <c r="M21" s="9"/>
      <c r="N21" s="6"/>
      <c r="O21" s="6"/>
    </row>
    <row r="22" spans="1:15" ht="15">
      <c r="A22" s="30"/>
      <c r="B22" s="73" t="s">
        <v>18</v>
      </c>
      <c r="C22" s="62"/>
      <c r="D22" s="62"/>
      <c r="E22" s="63"/>
      <c r="F22" s="70" t="s">
        <v>23</v>
      </c>
      <c r="G22" s="51"/>
      <c r="H22" s="27" t="s">
        <v>39</v>
      </c>
      <c r="I22" s="26"/>
      <c r="J22" s="10"/>
      <c r="K22" s="10"/>
      <c r="L22" s="11"/>
      <c r="M22" s="9"/>
      <c r="N22" s="6"/>
      <c r="O22" s="6"/>
    </row>
    <row r="23" spans="1:15" ht="15">
      <c r="A23" s="30"/>
      <c r="B23" s="71" t="s">
        <v>19</v>
      </c>
      <c r="C23" s="72"/>
      <c r="D23" s="72"/>
      <c r="E23" s="51"/>
      <c r="F23" s="70" t="s">
        <v>24</v>
      </c>
      <c r="G23" s="51"/>
      <c r="H23" s="28" t="s">
        <v>27</v>
      </c>
      <c r="I23" s="26"/>
      <c r="J23" s="10"/>
      <c r="K23" s="10"/>
      <c r="L23" s="11"/>
      <c r="M23" s="9"/>
      <c r="N23" s="6"/>
      <c r="O23" s="6"/>
    </row>
    <row r="24" spans="1:15" ht="15">
      <c r="A24" s="30"/>
      <c r="B24" s="71" t="s">
        <v>20</v>
      </c>
      <c r="C24" s="72"/>
      <c r="D24" s="72"/>
      <c r="E24" s="51"/>
      <c r="F24" s="70" t="s">
        <v>25</v>
      </c>
      <c r="G24" s="51"/>
      <c r="H24" s="28" t="s">
        <v>28</v>
      </c>
      <c r="I24" s="26"/>
      <c r="J24" s="10"/>
      <c r="K24" s="10"/>
      <c r="L24" s="11"/>
      <c r="M24" s="9"/>
      <c r="N24" s="6"/>
      <c r="O24" s="6"/>
    </row>
    <row r="25" spans="1:15" ht="15">
      <c r="A25" s="30"/>
      <c r="B25" s="71" t="s">
        <v>21</v>
      </c>
      <c r="C25" s="72"/>
      <c r="D25" s="72"/>
      <c r="E25" s="51"/>
      <c r="F25" s="70" t="s">
        <v>26</v>
      </c>
      <c r="G25" s="51"/>
      <c r="H25" s="28" t="s">
        <v>29</v>
      </c>
      <c r="I25" s="26"/>
      <c r="J25" s="10"/>
      <c r="K25" s="10"/>
      <c r="L25" s="11"/>
      <c r="M25" s="9"/>
      <c r="N25" s="6"/>
      <c r="O25" s="6"/>
    </row>
    <row r="26" spans="1:15" ht="15">
      <c r="A26" s="30"/>
      <c r="B26" s="71" t="s">
        <v>22</v>
      </c>
      <c r="C26" s="72"/>
      <c r="D26" s="72"/>
      <c r="E26" s="51"/>
      <c r="F26" s="70" t="s">
        <v>19</v>
      </c>
      <c r="G26" s="51"/>
      <c r="H26" s="28" t="s">
        <v>30</v>
      </c>
      <c r="I26" s="26"/>
      <c r="J26" s="10"/>
      <c r="K26" s="10"/>
      <c r="L26" s="11"/>
      <c r="M26" s="9"/>
      <c r="N26" s="6"/>
      <c r="O26" s="6"/>
    </row>
    <row r="27" spans="1:15" ht="15">
      <c r="A27" s="30"/>
      <c r="B27" s="71" t="s">
        <v>36</v>
      </c>
      <c r="C27" s="72"/>
      <c r="D27" s="72"/>
      <c r="E27" s="51"/>
      <c r="F27" s="70" t="s">
        <v>35</v>
      </c>
      <c r="G27" s="51"/>
      <c r="H27" s="28"/>
      <c r="I27" s="26"/>
      <c r="J27" s="10"/>
      <c r="K27" s="10"/>
      <c r="L27" s="11"/>
      <c r="M27" s="9"/>
      <c r="N27" s="6"/>
      <c r="O27" s="6"/>
    </row>
    <row r="28" spans="1:15" ht="15">
      <c r="A28" s="30"/>
      <c r="B28" s="74" t="s">
        <v>37</v>
      </c>
      <c r="C28" s="75"/>
      <c r="D28" s="75"/>
      <c r="E28" s="43"/>
      <c r="F28" s="76" t="s">
        <v>38</v>
      </c>
      <c r="G28" s="43"/>
      <c r="H28" s="29" t="s">
        <v>31</v>
      </c>
      <c r="I28" s="26"/>
      <c r="J28" s="10"/>
      <c r="K28" s="10"/>
      <c r="L28" s="11"/>
      <c r="M28" s="9"/>
      <c r="N28" s="6"/>
      <c r="O28" s="6"/>
    </row>
    <row r="29" spans="1:13" ht="15">
      <c r="A29" s="64" t="s">
        <v>33</v>
      </c>
      <c r="B29" s="65"/>
      <c r="C29" s="65"/>
      <c r="D29" s="65"/>
      <c r="E29" s="65"/>
      <c r="F29" s="65"/>
      <c r="G29" s="65"/>
      <c r="H29" s="65"/>
      <c r="I29" s="65"/>
      <c r="J29" s="66"/>
      <c r="K29" s="66"/>
      <c r="L29" s="67"/>
      <c r="M29" s="9"/>
    </row>
    <row r="30" spans="1:13" ht="15">
      <c r="A30" s="44" t="s">
        <v>32</v>
      </c>
      <c r="B30" s="45"/>
      <c r="C30" s="45"/>
      <c r="D30" s="45"/>
      <c r="E30" s="45"/>
      <c r="F30" s="45"/>
      <c r="G30" s="45"/>
      <c r="H30" s="45"/>
      <c r="I30" s="45"/>
      <c r="J30" s="45"/>
      <c r="K30" s="45"/>
      <c r="L30" s="45"/>
      <c r="M30" s="9"/>
    </row>
    <row r="31" spans="1:13" ht="15">
      <c r="A31" s="46" t="s">
        <v>42</v>
      </c>
      <c r="B31" s="47"/>
      <c r="C31" s="47"/>
      <c r="D31" s="47"/>
      <c r="E31" s="47"/>
      <c r="F31" s="47"/>
      <c r="G31" s="47"/>
      <c r="H31" s="47"/>
      <c r="I31" s="47"/>
      <c r="J31" s="47"/>
      <c r="K31" s="47"/>
      <c r="L31" s="48"/>
      <c r="M31" s="9"/>
    </row>
    <row r="32" s="9" customFormat="1" ht="15" customHeight="1"/>
    <row r="33" spans="1:12" s="9" customFormat="1" ht="15" customHeight="1">
      <c r="A33" s="40"/>
      <c r="B33" s="41"/>
      <c r="C33" s="41"/>
      <c r="D33" s="41"/>
      <c r="E33" s="41"/>
      <c r="F33" s="41"/>
      <c r="G33" s="41"/>
      <c r="H33" s="41"/>
      <c r="I33" s="41"/>
      <c r="J33" s="41"/>
      <c r="K33" s="41"/>
      <c r="L33" s="42"/>
    </row>
    <row r="34" spans="1:12" s="9" customFormat="1" ht="12.75" customHeight="1">
      <c r="A34" s="49"/>
      <c r="B34" s="50"/>
      <c r="C34" s="50"/>
      <c r="D34" s="50"/>
      <c r="E34" s="50"/>
      <c r="F34" s="50"/>
      <c r="G34" s="50"/>
      <c r="H34" s="50"/>
      <c r="I34" s="50"/>
      <c r="J34" s="50"/>
      <c r="K34" s="50"/>
      <c r="L34" s="51"/>
    </row>
    <row r="35" spans="1:13" s="9" customFormat="1" ht="39.75" customHeight="1">
      <c r="A35" s="52"/>
      <c r="B35" s="52"/>
      <c r="C35" s="52"/>
      <c r="D35" s="52"/>
      <c r="E35" s="52"/>
      <c r="F35" s="52"/>
      <c r="G35" s="52"/>
      <c r="H35" s="52"/>
      <c r="I35" s="52"/>
      <c r="J35" s="50"/>
      <c r="K35" s="50"/>
      <c r="L35" s="50"/>
      <c r="M35" s="8"/>
    </row>
    <row r="36" spans="1:13" s="9" customFormat="1" ht="15" customHeight="1">
      <c r="A36" s="2"/>
      <c r="B36" s="2"/>
      <c r="C36" s="2"/>
      <c r="D36" s="2"/>
      <c r="E36" s="2"/>
      <c r="F36" s="2"/>
      <c r="G36" s="2"/>
      <c r="H36" s="2"/>
      <c r="I36" s="2"/>
      <c r="J36" s="2"/>
      <c r="K36" s="2"/>
      <c r="L36" s="2"/>
      <c r="M36" s="2"/>
    </row>
    <row r="37" spans="1:13" s="9" customFormat="1" ht="15" customHeight="1">
      <c r="A37" s="2"/>
      <c r="B37" s="2"/>
      <c r="C37" s="2"/>
      <c r="D37" s="2"/>
      <c r="E37" s="2"/>
      <c r="F37" s="2"/>
      <c r="G37" s="2"/>
      <c r="H37" s="2"/>
      <c r="I37" s="2"/>
      <c r="J37" s="2"/>
      <c r="K37" s="2"/>
      <c r="L37" s="2"/>
      <c r="M37" s="2"/>
    </row>
    <row r="38" spans="1:13" s="9" customFormat="1" ht="15" customHeight="1">
      <c r="A38" s="2"/>
      <c r="B38" s="2"/>
      <c r="C38" s="2"/>
      <c r="D38" s="2"/>
      <c r="E38" s="2"/>
      <c r="F38" s="2"/>
      <c r="G38" s="2"/>
      <c r="H38" s="2"/>
      <c r="I38" s="2"/>
      <c r="J38" s="2"/>
      <c r="K38" s="2"/>
      <c r="L38" s="2"/>
      <c r="M38" s="2"/>
    </row>
    <row r="39" spans="1:13" s="9" customFormat="1" ht="15" customHeight="1">
      <c r="A39" s="2"/>
      <c r="B39" s="2"/>
      <c r="C39" s="2"/>
      <c r="D39" s="2"/>
      <c r="E39" s="2"/>
      <c r="F39" s="2"/>
      <c r="G39" s="2"/>
      <c r="H39" s="2"/>
      <c r="I39" s="2"/>
      <c r="J39" s="2"/>
      <c r="K39" s="2"/>
      <c r="L39" s="2"/>
      <c r="M39" s="2"/>
    </row>
    <row r="40" spans="1:13" s="9" customFormat="1" ht="15" customHeight="1">
      <c r="A40" s="2"/>
      <c r="B40" s="2"/>
      <c r="C40" s="2"/>
      <c r="D40" s="2"/>
      <c r="E40" s="2"/>
      <c r="F40" s="2"/>
      <c r="G40" s="2"/>
      <c r="H40" s="2"/>
      <c r="I40" s="2"/>
      <c r="J40" s="2"/>
      <c r="K40" s="2"/>
      <c r="L40" s="2"/>
      <c r="M40" s="2"/>
    </row>
    <row r="41" spans="1:13" s="9" customFormat="1" ht="15" customHeight="1">
      <c r="A41" s="2"/>
      <c r="B41" s="2"/>
      <c r="C41" s="2"/>
      <c r="D41" s="2"/>
      <c r="E41" s="2"/>
      <c r="F41" s="2"/>
      <c r="G41" s="2"/>
      <c r="H41" s="2"/>
      <c r="I41" s="2"/>
      <c r="J41" s="2"/>
      <c r="K41" s="2"/>
      <c r="L41" s="2"/>
      <c r="M41" s="2"/>
    </row>
    <row r="42" spans="1:13" s="9" customFormat="1" ht="15" customHeight="1">
      <c r="A42" s="2"/>
      <c r="B42" s="2"/>
      <c r="C42" s="2"/>
      <c r="D42" s="2"/>
      <c r="E42" s="2"/>
      <c r="F42" s="2"/>
      <c r="G42" s="2"/>
      <c r="H42" s="2"/>
      <c r="I42" s="2"/>
      <c r="J42" s="2"/>
      <c r="K42" s="2"/>
      <c r="L42" s="2"/>
      <c r="M42" s="2"/>
    </row>
    <row r="43" spans="1:13" s="9" customFormat="1" ht="12.75" customHeight="1">
      <c r="A43" s="2"/>
      <c r="B43" s="2"/>
      <c r="C43" s="2"/>
      <c r="D43" s="2"/>
      <c r="E43" s="2"/>
      <c r="F43" s="2"/>
      <c r="G43" s="2"/>
      <c r="H43" s="2"/>
      <c r="I43" s="2"/>
      <c r="J43" s="2"/>
      <c r="K43" s="2"/>
      <c r="L43" s="2"/>
      <c r="M43" s="2"/>
    </row>
    <row r="44" spans="1:13" s="9" customFormat="1" ht="22.5" customHeight="1">
      <c r="A44" s="2"/>
      <c r="B44" s="2"/>
      <c r="C44" s="2"/>
      <c r="D44" s="2"/>
      <c r="E44" s="2"/>
      <c r="F44" s="2"/>
      <c r="G44" s="2"/>
      <c r="H44" s="2"/>
      <c r="I44" s="2"/>
      <c r="J44" s="2"/>
      <c r="K44" s="2"/>
      <c r="L44" s="2"/>
      <c r="M44" s="2"/>
    </row>
    <row r="45" spans="1:13" s="9" customFormat="1" ht="21" customHeight="1">
      <c r="A45" s="2"/>
      <c r="B45" s="2"/>
      <c r="C45" s="2"/>
      <c r="D45" s="2"/>
      <c r="E45" s="2"/>
      <c r="F45" s="2"/>
      <c r="G45" s="2"/>
      <c r="H45" s="2"/>
      <c r="I45" s="2"/>
      <c r="J45" s="2"/>
      <c r="K45" s="2"/>
      <c r="L45" s="2"/>
      <c r="M45" s="2"/>
    </row>
    <row r="46" spans="1:13" s="8" customFormat="1" ht="48" customHeight="1">
      <c r="A46" s="2"/>
      <c r="B46" s="2"/>
      <c r="C46" s="2"/>
      <c r="D46" s="2"/>
      <c r="E46" s="2"/>
      <c r="F46" s="2"/>
      <c r="G46" s="2"/>
      <c r="H46" s="2"/>
      <c r="I46" s="2"/>
      <c r="J46" s="2"/>
      <c r="K46" s="2"/>
      <c r="L46" s="2"/>
      <c r="M46" s="2"/>
    </row>
  </sheetData>
  <mergeCells count="29">
    <mergeCell ref="A29:L29"/>
    <mergeCell ref="F23:G23"/>
    <mergeCell ref="F24:G24"/>
    <mergeCell ref="F26:G26"/>
    <mergeCell ref="B28:E28"/>
    <mergeCell ref="F27:G27"/>
    <mergeCell ref="F28:G28"/>
    <mergeCell ref="F22:G22"/>
    <mergeCell ref="B26:E26"/>
    <mergeCell ref="B27:E27"/>
    <mergeCell ref="B23:E23"/>
    <mergeCell ref="B24:E24"/>
    <mergeCell ref="B25:E25"/>
    <mergeCell ref="F25:G25"/>
    <mergeCell ref="B22:E22"/>
    <mergeCell ref="E1:H1"/>
    <mergeCell ref="E2:H2"/>
    <mergeCell ref="G7:H7"/>
    <mergeCell ref="B21:E21"/>
    <mergeCell ref="A9:B9"/>
    <mergeCell ref="A19:L19"/>
    <mergeCell ref="A20:L20"/>
    <mergeCell ref="J7:K7"/>
    <mergeCell ref="F21:G21"/>
    <mergeCell ref="A6:B6"/>
    <mergeCell ref="A30:L30"/>
    <mergeCell ref="A31:L31"/>
    <mergeCell ref="A34:L34"/>
    <mergeCell ref="A35:L35"/>
  </mergeCells>
  <dataValidations count="2">
    <dataValidation type="list" allowBlank="1" showInputMessage="1" showErrorMessage="1" promptTitle="Währung" prompt="Bitte Währung auswählen" sqref="B5">
      <formula1>$B$11:$B$12</formula1>
    </dataValidation>
    <dataValidation type="decimal" allowBlank="1" showInputMessage="1" showErrorMessage="1" promptTitle="Geschäftswert" prompt="Bitte Geschäftswert eingeben" errorTitle="Falsche Eingabe" error="Sie haben ungültige Daten für das Feld Geschäftswert eingegeben. Geben Sie eine Zahl über 0 ein!" sqref="A5">
      <formula1>0</formula1>
      <formula2>1E+99</formula2>
    </dataValidation>
  </dataValidations>
  <printOptions horizontalCentered="1" verticalCentered="1"/>
  <pageMargins left="0.7874015748031497" right="0.7874015748031497" top="0.984251968503937" bottom="0.984251968503937" header="0.5118110236220472" footer="0.5118110236220472"/>
  <pageSetup fitToHeight="1" fitToWidth="1"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sheetPr codeName="Tabelle2"/>
  <dimension ref="A1:F13"/>
  <sheetViews>
    <sheetView workbookViewId="0" topLeftCell="A1">
      <selection activeCell="E5" sqref="E5"/>
    </sheetView>
  </sheetViews>
  <sheetFormatPr defaultColWidth="11.421875" defaultRowHeight="12.75"/>
  <cols>
    <col min="2" max="2" width="21.140625" style="0" customWidth="1"/>
    <col min="3" max="3" width="25.28125" style="0" customWidth="1"/>
    <col min="4" max="4" width="28.7109375" style="0" customWidth="1"/>
    <col min="5" max="5" width="20.00390625" style="0" customWidth="1"/>
    <col min="6" max="6" width="26.140625" style="0" customWidth="1"/>
  </cols>
  <sheetData>
    <row r="1" ht="12.75">
      <c r="A1" s="14">
        <f>Haupttabelle!A12</f>
        <v>0</v>
      </c>
    </row>
    <row r="3" ht="12.75">
      <c r="B3">
        <f>IF(A1&gt;0,20,0)</f>
        <v>0</v>
      </c>
    </row>
    <row r="4" spans="2:6" ht="12.75">
      <c r="B4">
        <f aca="true" t="shared" si="0" ref="B4:B10">F4</f>
        <v>0</v>
      </c>
      <c r="C4">
        <f>A1-2000</f>
        <v>-2000</v>
      </c>
      <c r="D4">
        <f>IF(C4&lt;=0,0,C4/2000)</f>
        <v>0</v>
      </c>
      <c r="E4">
        <f aca="true" t="shared" si="1" ref="E4:E10">ROUNDUP(D4,0)</f>
        <v>0</v>
      </c>
      <c r="F4">
        <f>IF(E4&gt;4,60,E4*15)</f>
        <v>0</v>
      </c>
    </row>
    <row r="5" spans="2:6" ht="12.75">
      <c r="B5">
        <f t="shared" si="0"/>
        <v>0</v>
      </c>
      <c r="C5">
        <f>A1-10000</f>
        <v>-10000</v>
      </c>
      <c r="D5">
        <f>IF(C5&lt;=0,0,C5/5000)</f>
        <v>0</v>
      </c>
      <c r="E5">
        <f t="shared" si="1"/>
        <v>0</v>
      </c>
      <c r="F5">
        <f>IF(E5&gt;18,180,E5*10)</f>
        <v>0</v>
      </c>
    </row>
    <row r="6" spans="2:6" ht="12.75">
      <c r="B6">
        <f t="shared" si="0"/>
        <v>0</v>
      </c>
      <c r="C6">
        <f>A1-100000</f>
        <v>-100000</v>
      </c>
      <c r="D6">
        <f>IF(C6&lt;=0,0,C6/20000)</f>
        <v>0</v>
      </c>
      <c r="E6">
        <f t="shared" si="1"/>
        <v>0</v>
      </c>
      <c r="F6">
        <f>IF(E6&gt;495,14850,E6*30)</f>
        <v>0</v>
      </c>
    </row>
    <row r="7" spans="2:6" ht="12.75">
      <c r="B7">
        <f t="shared" si="0"/>
        <v>0</v>
      </c>
      <c r="C7">
        <f>A1-10000000</f>
        <v>-10000000</v>
      </c>
      <c r="D7">
        <f>IF(C7&lt;=0,0,C7/50000)</f>
        <v>0</v>
      </c>
      <c r="E7">
        <f t="shared" si="1"/>
        <v>0</v>
      </c>
      <c r="F7">
        <f>IF(E7&gt;800,26400,E7*33)</f>
        <v>0</v>
      </c>
    </row>
    <row r="8" spans="2:6" ht="12.75">
      <c r="B8">
        <f t="shared" si="0"/>
        <v>0</v>
      </c>
      <c r="C8">
        <f>A1-50000000</f>
        <v>-50000000</v>
      </c>
      <c r="D8">
        <f>IF(C8&lt;=0,0,C8/100000)</f>
        <v>0</v>
      </c>
      <c r="E8">
        <f t="shared" si="1"/>
        <v>0</v>
      </c>
      <c r="F8">
        <f>IF(E8&gt;500,10000,E8*20)</f>
        <v>0</v>
      </c>
    </row>
    <row r="9" spans="2:6" ht="12.75">
      <c r="B9">
        <f t="shared" si="0"/>
        <v>0</v>
      </c>
      <c r="C9">
        <f>A1-100000000</f>
        <v>-100000000</v>
      </c>
      <c r="D9">
        <f>IF(C9&lt;=0,0,C9/500000)</f>
        <v>0</v>
      </c>
      <c r="E9">
        <f t="shared" si="1"/>
        <v>0</v>
      </c>
      <c r="F9">
        <f>IF(E9&gt;800,12000,E9*15)</f>
        <v>0</v>
      </c>
    </row>
    <row r="10" spans="2:6" ht="12.75">
      <c r="B10">
        <f t="shared" si="0"/>
        <v>0</v>
      </c>
      <c r="C10">
        <f>A1-500000000</f>
        <v>-500000000</v>
      </c>
      <c r="D10">
        <f>IF(C10&lt;=0,0,C10/1000000)</f>
        <v>0</v>
      </c>
      <c r="E10">
        <f t="shared" si="1"/>
        <v>0</v>
      </c>
      <c r="F10">
        <f>E10*15</f>
        <v>0</v>
      </c>
    </row>
    <row r="13" ht="12.75">
      <c r="A13">
        <f>IF(A1="WÄHRUNG!",0,SUM(B3:B10))</f>
        <v>0</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F13"/>
  <sheetViews>
    <sheetView workbookViewId="0" topLeftCell="A1">
      <selection activeCell="A2" sqref="A2"/>
    </sheetView>
  </sheetViews>
  <sheetFormatPr defaultColWidth="11.421875" defaultRowHeight="12.75"/>
  <cols>
    <col min="1" max="1" width="12.7109375" style="0" bestFit="1" customWidth="1"/>
    <col min="2" max="2" width="21.140625" style="0" customWidth="1"/>
    <col min="3" max="3" width="25.28125" style="0" customWidth="1"/>
    <col min="4" max="4" width="28.7109375" style="0" customWidth="1"/>
    <col min="5" max="5" width="20.00390625" style="0" customWidth="1"/>
    <col min="6" max="6" width="26.140625" style="0" customWidth="1"/>
  </cols>
  <sheetData>
    <row r="1" ht="12.75">
      <c r="A1" s="14">
        <f>Haupttabelle!A11</f>
        <v>53000</v>
      </c>
    </row>
    <row r="3" ht="12.75">
      <c r="B3">
        <f>IF(A1&gt;0,10,0)</f>
        <v>10</v>
      </c>
    </row>
    <row r="4" spans="2:6" ht="12.75">
      <c r="B4">
        <f aca="true" t="shared" si="0" ref="B4:B9">F4</f>
        <v>32</v>
      </c>
      <c r="C4" s="14">
        <f>A1-1000</f>
        <v>52000</v>
      </c>
      <c r="D4">
        <f>IF(C4&lt;=0,0,C4/1000)</f>
        <v>52</v>
      </c>
      <c r="E4">
        <f aca="true" t="shared" si="1" ref="E4:E9">ROUNDUP(D4,0)</f>
        <v>52</v>
      </c>
      <c r="F4">
        <f>IF(E4&gt;4,32,E4*8)</f>
        <v>32</v>
      </c>
    </row>
    <row r="5" spans="2:6" ht="12.75">
      <c r="B5">
        <f t="shared" si="0"/>
        <v>90</v>
      </c>
      <c r="C5" s="14">
        <f>A1-5000</f>
        <v>48000</v>
      </c>
      <c r="D5">
        <f>IF(C5&lt;=0,0,C5/3000)</f>
        <v>16</v>
      </c>
      <c r="E5">
        <f t="shared" si="1"/>
        <v>16</v>
      </c>
      <c r="F5">
        <f>IF(E5&gt;15,90,E5*6)</f>
        <v>90</v>
      </c>
    </row>
    <row r="6" spans="2:6" ht="12.75">
      <c r="B6">
        <f t="shared" si="0"/>
        <v>15</v>
      </c>
      <c r="C6" s="14">
        <f>A1-50000</f>
        <v>3000</v>
      </c>
      <c r="D6">
        <f>IF(C6&lt;=0,0,C6/10000)</f>
        <v>0.3</v>
      </c>
      <c r="E6">
        <f t="shared" si="1"/>
        <v>1</v>
      </c>
      <c r="F6">
        <f>IF(E6&gt;495,7425,E6*15)</f>
        <v>15</v>
      </c>
    </row>
    <row r="7" spans="2:6" ht="12.75">
      <c r="B7">
        <f t="shared" si="0"/>
        <v>0</v>
      </c>
      <c r="C7" s="14">
        <f>A1-5000000</f>
        <v>-4947000</v>
      </c>
      <c r="D7">
        <f>IF(C7&lt;=0,0,C7/25000)</f>
        <v>0</v>
      </c>
      <c r="E7">
        <f t="shared" si="1"/>
        <v>0</v>
      </c>
      <c r="F7">
        <f>IF(E7&gt;800,12800,E7*16)</f>
        <v>0</v>
      </c>
    </row>
    <row r="8" spans="2:6" ht="12.75">
      <c r="B8">
        <f t="shared" si="0"/>
        <v>0</v>
      </c>
      <c r="C8" s="14">
        <f>A1-25000000</f>
        <v>-24947000</v>
      </c>
      <c r="D8">
        <f>IF(C8&lt;=0,0,C8/50000)</f>
        <v>0</v>
      </c>
      <c r="E8">
        <f t="shared" si="1"/>
        <v>0</v>
      </c>
      <c r="F8">
        <f>IF(E8&gt;500,5500,E8*11)</f>
        <v>0</v>
      </c>
    </row>
    <row r="9" spans="2:6" ht="12.75">
      <c r="B9">
        <f t="shared" si="0"/>
        <v>0</v>
      </c>
      <c r="C9" s="14">
        <f>A1-50000000</f>
        <v>-49947000</v>
      </c>
      <c r="D9">
        <f>IF(C9&lt;=0,0,C9/250000)</f>
        <v>0</v>
      </c>
      <c r="E9">
        <f t="shared" si="1"/>
        <v>0</v>
      </c>
      <c r="F9">
        <f>IF(E9&gt;800,5600,E9*7)</f>
        <v>0</v>
      </c>
    </row>
    <row r="13" ht="12.75">
      <c r="A13">
        <f>IF(A1="WÄHRUNG!",0,SUM(B3:B9))</f>
        <v>147</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Bundesnotarkammer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Gebührenrechner</dc:title>
  <dc:subject>Berechnung der Gebührenhöhe nach § 32 KostO</dc:subject>
  <dc:creator>Dr. Stefan Görk/Susanne Grimm</dc:creator>
  <cp:keywords/>
  <dc:description/>
  <cp:lastModifiedBy>Frank Giesholt</cp:lastModifiedBy>
  <cp:lastPrinted>2004-07-28T10:18:41Z</cp:lastPrinted>
  <dcterms:created xsi:type="dcterms:W3CDTF">2001-08-24T23:36:33Z</dcterms:created>
  <dcterms:modified xsi:type="dcterms:W3CDTF">2010-08-30T06:35:34Z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